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<sst xmlns="http://schemas.openxmlformats.org/spreadsheetml/2006/main" count="199" uniqueCount="187">
  <si>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</si>
  <si>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</si>
  <si>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</si>
  <si>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</si>
  <si>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</si>
  <si>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</si>
  <si>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</si>
  <si>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</si>
  <si>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</si>
  <si>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</si>
  <si>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</si>
  <si>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</si>
  <si>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</si>
  <si>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</si>
  <si>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</si>
  <si>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</si>
  <si>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</si>
  <si>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</si>
  <si>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</si>
  <si>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</si>
  <si>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</si>
  <si>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</si>
  <si>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</si>
  <si>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</si>
  <si>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</si>
  <si>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</si>
  <si>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</si>
  <si>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</si>
  <si>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</si>
  <si>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</si>
  <si>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</si>
  <si>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</si>
  <si>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</si>
  <si>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</si>
  <si>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</si>
  <si>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</si>
  <si>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</si>
  <si>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</si>
  <si>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</si>
  <si>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</si>
  <si>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</si>
  <si>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</si>
  <si>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</si>
  <si>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</si>
  <si>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</si>
  <si>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</si>
  <si>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</si>
  <si>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</si>
  <si>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</si>
  <si>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</si>
  <si>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</si>
  <si>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</si>
  <si>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</si>
  <si>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</si>
  <si>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</si>
  <si>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</si>
  <si>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</si>
  <si>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</si>
  <si>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</si>
  <si>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</si>
  <si>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</si>
  <si>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</si>
  <si>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</si>
  <si>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</si>
  <si>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</si>
  <si>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</si>
  <si>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</si>
  <si>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</si>
  <si>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</si>
  <si>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</si>
  <si>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</si>
  <si>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</si>
  <si>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</si>
  <si>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</si>
  <si>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</si>
  <si>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</si>
  <si>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</si>
  <si>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</si>
  <si>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</si>
  <si>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</si>
  <si>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</si>
  <si>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</si>
  <si>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</si>
  <si>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</si>
  <si>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</si>
  <si>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</si>
  <si>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</si>
  <si>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</si>
  <si>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</si>
  <si>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</si>
  <si>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</si>
  <si>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</si>
  <si>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</si>
  <si>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</si>
  <si>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</si>
  <si>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</si>
  <si>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</si>
  <si>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</si>
  <si>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</si>
  <si>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</si>
  <si>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</si>
  <si>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</si>
  <si>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</si>
  <si>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</si>
  <si>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</si>
  <si>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</si>
  <si>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</si>
  <si>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</si>
  <si>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</si>
  <si>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</si>
  <si>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</si>
  <si>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</si>
  <si>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</si>
  <si>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</si>
  <si>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</si>
  <si>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</si>
  <si>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</si>
  <si>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</si>
  <si>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</si>
  <si>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</si>
  <si>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</si>
  <si>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</si>
  <si>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</si>
  <si>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</si>
  <si>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</si>
  <si>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</si>
  <si>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</si>
  <si>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</si>
  <si>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</si>
  <si>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</si>
  <si>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</si>
  <si>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</si>
  <si>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</si>
  <si>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</si>
  <si>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</si>
  <si>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</si>
  <si>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</si>
  <si>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</si>
  <si>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</si>
  <si>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</si>
  <si>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</si>
  <si>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</si>
  <si>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</si>
  <si>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</si>
  <si>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</si>
  <si>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</si>
  <si>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</si>
  <si>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</si>
  <si>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</si>
  <si>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</si>
  <si>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</si>
  <si>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</si>
  <si>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</si>
  <si>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</si>
  <si>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</si>
  <si>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</si>
  <si>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</si>
  <si>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</si>
  <si>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</si>
  <si>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</si>
  <si>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</si>
  <si>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</si>
  <si>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</si>
  <si>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</si>
  <si>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</si>
  <si>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</si>
  <si>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</si>
  <si>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</si>
  <si>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</si>
  <si>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</si>
  <si>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</si>
  <si>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</si>
  <si>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</si>
  <si>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</si>
  <si>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</si>
  <si>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</si>
  <si>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</si>
  <si>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</si>
  <si>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</si>
  <si>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</si>
  <si>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</si>
  <si>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</si>
  <si>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</si>
  <si>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</si>
  <si>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28.01.14 </t>
    </r>
    <r>
      <rPr>
        <b/>
        <sz val="10"/>
        <rFont val="Times New Roman"/>
        <family val="1"/>
      </rPr>
      <t>включно</t>
    </r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</si>
  <si>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</si>
  <si>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31.01.2014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</si>
</sst>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лютий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111165862.19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97340640.22999999</v>
          </cell>
        </row>
      </sheetData>
      <sheetData sheetId="17">
        <row r="29">
          <cell r="C29">
            <v>1485882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8" sqref="F13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173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180</v>
      </c>
      <c r="N3" s="176" t="s">
        <v>179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174</v>
      </c>
      <c r="H4" s="164" t="s">
        <v>175</v>
      </c>
      <c r="I4" s="166" t="s">
        <v>176</v>
      </c>
      <c r="J4" s="172" t="s">
        <v>177</v>
      </c>
      <c r="K4" s="125" t="s">
        <v>172</v>
      </c>
      <c r="L4" s="132" t="s">
        <v>171</v>
      </c>
      <c r="M4" s="155"/>
      <c r="N4" s="174" t="s">
        <v>184</v>
      </c>
      <c r="O4" s="166" t="s">
        <v>136</v>
      </c>
      <c r="P4" s="176" t="s">
        <v>135</v>
      </c>
      <c r="Q4" s="133" t="s">
        <v>172</v>
      </c>
      <c r="R4" s="134" t="s">
        <v>171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178</v>
      </c>
      <c r="L5" s="159"/>
      <c r="M5" s="155"/>
      <c r="N5" s="175"/>
      <c r="O5" s="167"/>
      <c r="P5" s="176"/>
      <c r="Q5" s="158" t="s">
        <v>181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168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31060.08</v>
      </c>
      <c r="G8" s="22">
        <f aca="true" t="shared" si="0" ref="G8:G30">F8-E8</f>
        <v>-3144.9199999999983</v>
      </c>
      <c r="H8" s="51">
        <f>F8/E8*100</f>
        <v>90.80567168542612</v>
      </c>
      <c r="I8" s="36">
        <f aca="true" t="shared" si="1" ref="I8:I17">F8-D8</f>
        <v>-192205.02000000002</v>
      </c>
      <c r="J8" s="36">
        <f aca="true" t="shared" si="2" ref="J8:J14">F8/D8*100</f>
        <v>13.91174885819593</v>
      </c>
      <c r="K8" s="36">
        <f>F8-33601.5</f>
        <v>-2541.4199999999983</v>
      </c>
      <c r="L8" s="36">
        <f>F8/33601.5*100</f>
        <v>92.43658765233695</v>
      </c>
      <c r="M8" s="22">
        <f>M10+M19+M33+M56+M68+M30</f>
        <v>34205</v>
      </c>
      <c r="N8" s="22">
        <f>N10+N19+N33+N56+N68+N30</f>
        <v>31060.08</v>
      </c>
      <c r="O8" s="36">
        <f aca="true" t="shared" si="3" ref="O8:O55">N8-M8</f>
        <v>-3144.9199999999983</v>
      </c>
      <c r="P8" s="36">
        <f>F8/M8*100</f>
        <v>90.80567168542612</v>
      </c>
      <c r="Q8" s="36">
        <f>N8-33601.5</f>
        <v>-2541.4199999999983</v>
      </c>
      <c r="R8" s="136">
        <f>N8/33601.5</f>
        <v>0.9243658765233695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24183.91</v>
      </c>
      <c r="G9" s="22">
        <f t="shared" si="0"/>
        <v>24183.91</v>
      </c>
      <c r="H9" s="20"/>
      <c r="I9" s="56">
        <f t="shared" si="1"/>
        <v>-156036.09</v>
      </c>
      <c r="J9" s="56">
        <f t="shared" si="2"/>
        <v>13.41910442792143</v>
      </c>
      <c r="K9" s="56"/>
      <c r="L9" s="56"/>
      <c r="M9" s="20">
        <f>M10+M17</f>
        <v>27150</v>
      </c>
      <c r="N9" s="20">
        <f>N10+N17</f>
        <v>24183.91</v>
      </c>
      <c r="O9" s="36">
        <f t="shared" si="3"/>
        <v>-2966.09</v>
      </c>
      <c r="P9" s="56">
        <f>F9/M9*100</f>
        <v>89.07517495395948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24183.91</v>
      </c>
      <c r="G10" s="49">
        <f t="shared" si="0"/>
        <v>-2966.09</v>
      </c>
      <c r="H10" s="40">
        <f aca="true" t="shared" si="4" ref="H10:H17">F10/E10*100</f>
        <v>89.07517495395948</v>
      </c>
      <c r="I10" s="56">
        <f t="shared" si="1"/>
        <v>-156036.09</v>
      </c>
      <c r="J10" s="56">
        <f t="shared" si="2"/>
        <v>13.41910442792143</v>
      </c>
      <c r="K10" s="56">
        <f>F10-26732.4</f>
        <v>-2548.4900000000016</v>
      </c>
      <c r="L10" s="56">
        <f>F10/26732.4*100</f>
        <v>90.46666217773188</v>
      </c>
      <c r="M10" s="40">
        <f>E10</f>
        <v>27150</v>
      </c>
      <c r="N10" s="40">
        <f>F10</f>
        <v>24183.91</v>
      </c>
      <c r="O10" s="53">
        <f t="shared" si="3"/>
        <v>-2966.09</v>
      </c>
      <c r="P10" s="56">
        <f aca="true" t="shared" si="5" ref="P10:P17">N10/M10*100</f>
        <v>89.07517495395948</v>
      </c>
      <c r="Q10" s="143">
        <f>N10-26732.4</f>
        <v>-2548.4900000000016</v>
      </c>
      <c r="R10" s="144">
        <f>N10/26732.4</f>
        <v>0.9046666217773188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183</v>
      </c>
      <c r="C29" s="185">
        <v>11010232</v>
      </c>
      <c r="D29" s="41"/>
      <c r="E29" s="41"/>
      <c r="F29" s="188">
        <v>358.79</v>
      </c>
      <c r="G29" s="49"/>
      <c r="H29" s="40"/>
      <c r="I29" s="56"/>
      <c r="J29" s="56"/>
      <c r="K29" s="187">
        <f>F29-160.03</f>
        <v>198.76000000000002</v>
      </c>
      <c r="L29" s="18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5990.8</v>
      </c>
      <c r="G33" s="49">
        <f aca="true" t="shared" si="14" ref="G33:G55">F33-E33</f>
        <v>-409.1999999999998</v>
      </c>
      <c r="H33" s="40">
        <f aca="true" t="shared" si="15" ref="H33:H55">F33/E33*100</f>
        <v>93.60625</v>
      </c>
      <c r="I33" s="56">
        <f>F33-D33</f>
        <v>-32954.2</v>
      </c>
      <c r="J33" s="56">
        <f aca="true" t="shared" si="16" ref="J33:J55">F33/D33*100</f>
        <v>15.382719219411992</v>
      </c>
      <c r="K33" s="56">
        <f>F33-6172.8</f>
        <v>-182</v>
      </c>
      <c r="L33" s="56">
        <f>F33/6172.8*100</f>
        <v>97.05158113011923</v>
      </c>
      <c r="M33" s="40">
        <f t="shared" si="6"/>
        <v>6400</v>
      </c>
      <c r="N33" s="40">
        <f t="shared" si="7"/>
        <v>5990.8</v>
      </c>
      <c r="O33" s="53">
        <f t="shared" si="3"/>
        <v>-409.1999999999998</v>
      </c>
      <c r="P33" s="56">
        <f aca="true" t="shared" si="17" ref="P33:P55">N33/M33*100</f>
        <v>93.60625</v>
      </c>
      <c r="Q33" s="143">
        <f>N33-6172.8</f>
        <v>-182</v>
      </c>
      <c r="R33" s="144">
        <f>N33/6172.8</f>
        <v>0.9705158113011924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4410.59</v>
      </c>
      <c r="G55" s="186">
        <f t="shared" si="14"/>
        <v>-339.40999999999985</v>
      </c>
      <c r="H55" s="188">
        <f t="shared" si="15"/>
        <v>92.85452631578947</v>
      </c>
      <c r="I55" s="187">
        <f t="shared" si="18"/>
        <v>-24169.41</v>
      </c>
      <c r="J55" s="187">
        <f t="shared" si="16"/>
        <v>15.432435269419177</v>
      </c>
      <c r="K55" s="187">
        <f>F55-4574.19</f>
        <v>-163.59999999999945</v>
      </c>
      <c r="L55" s="187">
        <f>F55/4574.19*100</f>
        <v>96.42341048360475</v>
      </c>
      <c r="M55" s="40">
        <f t="shared" si="6"/>
        <v>4750</v>
      </c>
      <c r="N55" s="40">
        <f t="shared" si="7"/>
        <v>4410.59</v>
      </c>
      <c r="O55" s="53">
        <f t="shared" si="3"/>
        <v>-339.40999999999985</v>
      </c>
      <c r="P55" s="56">
        <f t="shared" si="17"/>
        <v>92.85452631578947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526.41</v>
      </c>
      <c r="G56" s="49">
        <f aca="true" t="shared" si="21" ref="G56:G72">F56-E56</f>
        <v>-28.590000000000032</v>
      </c>
      <c r="H56" s="40">
        <f aca="true" t="shared" si="22" ref="H56:H67">F56/E56*100</f>
        <v>94.84864864864865</v>
      </c>
      <c r="I56" s="56">
        <f aca="true" t="shared" si="23" ref="I56:I72">F56-D56</f>
        <v>-2973.59</v>
      </c>
      <c r="J56" s="56">
        <f aca="true" t="shared" si="24" ref="J56:J72">F56/D56*100</f>
        <v>15.040285714285714</v>
      </c>
      <c r="K56" s="56">
        <f>F56-501.4</f>
        <v>25.00999999999999</v>
      </c>
      <c r="L56" s="56">
        <f>F56/501.4*100</f>
        <v>104.98803350618269</v>
      </c>
      <c r="M56" s="40">
        <f t="shared" si="6"/>
        <v>555</v>
      </c>
      <c r="N56" s="40">
        <f t="shared" si="7"/>
        <v>526.41</v>
      </c>
      <c r="O56" s="53">
        <f aca="true" t="shared" si="25" ref="O56:O72">N56-M56</f>
        <v>-28.590000000000032</v>
      </c>
      <c r="P56" s="56">
        <f aca="true" t="shared" si="26" ref="P56:P67">N56/M56*100</f>
        <v>94.84864864864865</v>
      </c>
      <c r="Q56" s="56">
        <f>N56-501.4</f>
        <v>25.00999999999999</v>
      </c>
      <c r="R56" s="137">
        <f>N56/501.4</f>
        <v>1.0498803350618269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991.7</v>
      </c>
      <c r="G74" s="50">
        <f aca="true" t="shared" si="27" ref="G74:G92">F74-E74</f>
        <v>-64.39999999999986</v>
      </c>
      <c r="H74" s="51">
        <f aca="true" t="shared" si="28" ref="H74:H86">F74/E74*100</f>
        <v>93.90209260486697</v>
      </c>
      <c r="I74" s="36">
        <f aca="true" t="shared" si="29" ref="I74:I92">F74-D74</f>
        <v>-6714.400000000001</v>
      </c>
      <c r="J74" s="36">
        <f aca="true" t="shared" si="30" ref="J74:J92">F74/D74*100</f>
        <v>12.86902583667484</v>
      </c>
      <c r="K74" s="36">
        <f>F74-920</f>
        <v>71.70000000000005</v>
      </c>
      <c r="L74" s="36">
        <f>F74/920*100</f>
        <v>107.79347826086958</v>
      </c>
      <c r="M74" s="22">
        <f>M77+M86+M88+M89+M94+M95+M96+M97+M99+M87</f>
        <v>1056.1</v>
      </c>
      <c r="N74" s="22">
        <f>N77+N86+N88+N89+N94+N95+N96+N97+N99+N32+N103+N87</f>
        <v>991.7</v>
      </c>
      <c r="O74" s="55">
        <f aca="true" t="shared" si="31" ref="O74:O92">N74-M74</f>
        <v>-64.39999999999986</v>
      </c>
      <c r="P74" s="36">
        <f>N74/M74*100</f>
        <v>93.90209260486697</v>
      </c>
      <c r="Q74" s="36">
        <f>N74-920</f>
        <v>71.70000000000005</v>
      </c>
      <c r="R74" s="138">
        <f>N74/920</f>
        <v>1.0779347826086958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169</v>
      </c>
      <c r="C87" s="64">
        <v>21080500</v>
      </c>
      <c r="D87" s="41"/>
      <c r="E87" s="41"/>
      <c r="F87" s="57">
        <v>3.5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3.5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8.42</v>
      </c>
      <c r="G89" s="49">
        <f t="shared" si="27"/>
        <v>-1.58</v>
      </c>
      <c r="H89" s="40">
        <f>F89/E89*100</f>
        <v>84.2</v>
      </c>
      <c r="I89" s="56">
        <f t="shared" si="29"/>
        <v>-51.58</v>
      </c>
      <c r="J89" s="56">
        <f t="shared" si="30"/>
        <v>14.033333333333333</v>
      </c>
      <c r="K89" s="56">
        <f>F89-11.9</f>
        <v>-3.4800000000000004</v>
      </c>
      <c r="L89" s="56">
        <f>F89/11.9*100</f>
        <v>70.7563025210084</v>
      </c>
      <c r="M89" s="40">
        <f t="shared" si="34"/>
        <v>10</v>
      </c>
      <c r="N89" s="40">
        <f t="shared" si="35"/>
        <v>8.42</v>
      </c>
      <c r="O89" s="53">
        <f t="shared" si="31"/>
        <v>-1.58</v>
      </c>
      <c r="P89" s="56">
        <f>N89/M89*100</f>
        <v>84.2</v>
      </c>
      <c r="Q89" s="56">
        <f>N89-11.9</f>
        <v>-3.4800000000000004</v>
      </c>
      <c r="R89" s="137">
        <f>N89/11.9</f>
        <v>0.707563025210084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646.74</v>
      </c>
      <c r="G95" s="49">
        <f t="shared" si="36"/>
        <v>16.74000000000001</v>
      </c>
      <c r="H95" s="40">
        <f>F95/E95*100</f>
        <v>102.65714285714287</v>
      </c>
      <c r="I95" s="56">
        <f t="shared" si="37"/>
        <v>-3133.26</v>
      </c>
      <c r="J95" s="56">
        <f>F95/D95*100</f>
        <v>17.10952380952381</v>
      </c>
      <c r="K95" s="56">
        <f>F95-638.2</f>
        <v>8.539999999999964</v>
      </c>
      <c r="L95" s="56">
        <f>F95/638.2*100</f>
        <v>101.33813851457222</v>
      </c>
      <c r="M95" s="40">
        <f t="shared" si="34"/>
        <v>630</v>
      </c>
      <c r="N95" s="40">
        <f t="shared" si="35"/>
        <v>646.74</v>
      </c>
      <c r="O95" s="53">
        <f t="shared" si="38"/>
        <v>16.74000000000001</v>
      </c>
      <c r="P95" s="56">
        <f>N95/M95*100</f>
        <v>102.65714285714287</v>
      </c>
      <c r="Q95" s="56">
        <f>N95-638.2</f>
        <v>8.539999999999964</v>
      </c>
      <c r="R95" s="137">
        <f>N95/638.2</f>
        <v>1.0133813851457223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66.86</v>
      </c>
      <c r="G96" s="49">
        <f t="shared" si="36"/>
        <v>-18.14</v>
      </c>
      <c r="H96" s="40">
        <f>F96/E96*100</f>
        <v>78.65882352941176</v>
      </c>
      <c r="I96" s="56">
        <f t="shared" si="37"/>
        <v>-443.14</v>
      </c>
      <c r="J96" s="56">
        <f>F96/D96*100</f>
        <v>13.109803921568627</v>
      </c>
      <c r="K96" s="56">
        <f>F96-17.2</f>
        <v>49.66</v>
      </c>
      <c r="L96" s="56">
        <f>F96/17.2*100</f>
        <v>388.72093023255815</v>
      </c>
      <c r="M96" s="40">
        <f t="shared" si="34"/>
        <v>85</v>
      </c>
      <c r="N96" s="40">
        <f t="shared" si="35"/>
        <v>66.86</v>
      </c>
      <c r="O96" s="53">
        <f t="shared" si="38"/>
        <v>-18.14</v>
      </c>
      <c r="P96" s="56">
        <f>N96/M96*100</f>
        <v>78.65882352941176</v>
      </c>
      <c r="Q96" s="56">
        <f>N96-17.2</f>
        <v>49.66</v>
      </c>
      <c r="R96" s="137">
        <f>N96/17.2</f>
        <v>3.8872093023255814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266.18</v>
      </c>
      <c r="G99" s="49">
        <f t="shared" si="36"/>
        <v>-63.81999999999999</v>
      </c>
      <c r="H99" s="40">
        <f>F99/E99*100</f>
        <v>80.66060606060607</v>
      </c>
      <c r="I99" s="56">
        <f t="shared" si="37"/>
        <v>-1713.82</v>
      </c>
      <c r="J99" s="56">
        <f>F99/D99*100</f>
        <v>13.443434343434344</v>
      </c>
      <c r="K99" s="56">
        <f>F99-236.4</f>
        <v>29.78</v>
      </c>
      <c r="L99" s="56">
        <f>F99/236.5*100</f>
        <v>112.54968287526428</v>
      </c>
      <c r="M99" s="40">
        <f t="shared" si="34"/>
        <v>330</v>
      </c>
      <c r="N99" s="40">
        <f t="shared" si="35"/>
        <v>266.18</v>
      </c>
      <c r="O99" s="53">
        <f t="shared" si="38"/>
        <v>-63.81999999999999</v>
      </c>
      <c r="P99" s="56">
        <f>N99/M99*100</f>
        <v>80.66060606060607</v>
      </c>
      <c r="Q99" s="56">
        <f>N99-236.4</f>
        <v>29.78</v>
      </c>
      <c r="R99" s="137">
        <f>N99/236.4</f>
        <v>1.1259729272419627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64.5</v>
      </c>
      <c r="G102" s="186"/>
      <c r="H102" s="188"/>
      <c r="I102" s="187"/>
      <c r="J102" s="187"/>
      <c r="K102" s="187">
        <f>F102-30.6</f>
        <v>33.9</v>
      </c>
      <c r="L102" s="190">
        <f>F102/30.6*100</f>
        <v>210.7843137254902</v>
      </c>
      <c r="M102" s="40">
        <f t="shared" si="34"/>
        <v>0</v>
      </c>
      <c r="N102" s="40">
        <f t="shared" si="35"/>
        <v>64.5</v>
      </c>
      <c r="O102" s="53"/>
      <c r="P102" s="56"/>
      <c r="Q102" s="56">
        <f>N102-30.6</f>
        <v>33.9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0.2</v>
      </c>
      <c r="G104" s="49">
        <f>F104-E104</f>
        <v>-0.8</v>
      </c>
      <c r="H104" s="40"/>
      <c r="I104" s="56">
        <f t="shared" si="39"/>
        <v>-5.8</v>
      </c>
      <c r="J104" s="56">
        <f aca="true" t="shared" si="41" ref="J104:J109">F104/D104*100</f>
        <v>3.3333333333333335</v>
      </c>
      <c r="K104" s="56">
        <f>F104-0</f>
        <v>0.2</v>
      </c>
      <c r="L104" s="56" t="e">
        <f>F104/0*100</f>
        <v>#DIV/0!</v>
      </c>
      <c r="M104" s="40">
        <f t="shared" si="34"/>
        <v>1</v>
      </c>
      <c r="N104" s="40">
        <f t="shared" si="35"/>
        <v>0.2</v>
      </c>
      <c r="O104" s="53">
        <f t="shared" si="40"/>
        <v>-0.8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32051.980000000003</v>
      </c>
      <c r="G106" s="50">
        <f>F106-E106</f>
        <v>-3210.1199999999953</v>
      </c>
      <c r="H106" s="51">
        <f>F106/E106*100</f>
        <v>90.89640151891125</v>
      </c>
      <c r="I106" s="36">
        <f t="shared" si="39"/>
        <v>-198925.22</v>
      </c>
      <c r="J106" s="36">
        <f t="shared" si="41"/>
        <v>13.876685664212745</v>
      </c>
      <c r="K106" s="36">
        <f>F106-34521.7</f>
        <v>-2469.719999999994</v>
      </c>
      <c r="L106" s="36">
        <f>F106/34521.7*100</f>
        <v>92.8458911351411</v>
      </c>
      <c r="M106" s="22">
        <f>M8+M74+M104+M105</f>
        <v>35262.1</v>
      </c>
      <c r="N106" s="22">
        <f>N8+N74+N104+N105</f>
        <v>32051.980000000003</v>
      </c>
      <c r="O106" s="55">
        <f t="shared" si="40"/>
        <v>-3210.1199999999953</v>
      </c>
      <c r="P106" s="36">
        <f>N106/M106*100</f>
        <v>90.89640151891125</v>
      </c>
      <c r="Q106" s="36">
        <f>N106-34521.7</f>
        <v>-2469.719999999994</v>
      </c>
      <c r="R106" s="138">
        <f>N106/34521.7</f>
        <v>0.928458911351411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24250.77</v>
      </c>
      <c r="G107" s="71">
        <f>G10-G18+G96</f>
        <v>-2984.23</v>
      </c>
      <c r="H107" s="72">
        <f>F107/E107*100</f>
        <v>89.04266568753442</v>
      </c>
      <c r="I107" s="52">
        <f t="shared" si="39"/>
        <v>-156479.23</v>
      </c>
      <c r="J107" s="52">
        <f t="shared" si="41"/>
        <v>13.418231616223094</v>
      </c>
      <c r="K107" s="52">
        <f>F107-26764.7</f>
        <v>-2513.9300000000003</v>
      </c>
      <c r="L107" s="52">
        <f>F107/26764.7*100</f>
        <v>90.60729244116318</v>
      </c>
      <c r="M107" s="71">
        <f>M10-M18+M96</f>
        <v>27235</v>
      </c>
      <c r="N107" s="71">
        <f>N10-N18+N96</f>
        <v>24250.77</v>
      </c>
      <c r="O107" s="53">
        <f t="shared" si="40"/>
        <v>-2984.2299999999996</v>
      </c>
      <c r="P107" s="52">
        <f>N107/M107*100</f>
        <v>89.04266568753442</v>
      </c>
      <c r="Q107" s="52">
        <f>N107-26764.7</f>
        <v>-2513.9300000000003</v>
      </c>
      <c r="R107" s="139">
        <f>N107/26764.7</f>
        <v>0.9060729244116318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7801.210000000003</v>
      </c>
      <c r="G108" s="62">
        <f>F108-E108</f>
        <v>-225.88999999999578</v>
      </c>
      <c r="H108" s="72">
        <f>F108/E108*100</f>
        <v>97.18590773753914</v>
      </c>
      <c r="I108" s="52">
        <f t="shared" si="39"/>
        <v>-42445.990000000005</v>
      </c>
      <c r="J108" s="52">
        <f t="shared" si="41"/>
        <v>15.525661131366524</v>
      </c>
      <c r="K108" s="52">
        <f>F108-7757</f>
        <v>44.210000000002765</v>
      </c>
      <c r="L108" s="52">
        <f>F108/7757*100</f>
        <v>100.56993683124924</v>
      </c>
      <c r="M108" s="71">
        <f>M106-M107</f>
        <v>8027.0999999999985</v>
      </c>
      <c r="N108" s="71">
        <f>N106-N107</f>
        <v>7801.210000000003</v>
      </c>
      <c r="O108" s="53">
        <f t="shared" si="40"/>
        <v>-225.88999999999578</v>
      </c>
      <c r="P108" s="52">
        <f>N108/M108*100</f>
        <v>97.18590773753914</v>
      </c>
      <c r="Q108" s="52">
        <f>N108-7757</f>
        <v>44.210000000002765</v>
      </c>
      <c r="R108" s="139">
        <f>N108/7757</f>
        <v>1.0056993683124924</v>
      </c>
    </row>
    <row r="109" spans="1:18" s="73" customFormat="1" ht="18.75">
      <c r="A109" s="69"/>
      <c r="B109" s="82" t="s">
        <v>150</v>
      </c>
      <c r="C109" s="93"/>
      <c r="D109" s="71">
        <v>0</v>
      </c>
      <c r="E109" s="121">
        <v>0</v>
      </c>
      <c r="F109" s="71">
        <f>F107</f>
        <v>24250.77</v>
      </c>
      <c r="G109" s="111">
        <f>F109-E109</f>
        <v>24250.77</v>
      </c>
      <c r="H109" s="72" t="e">
        <f>F109/E109*100</f>
        <v>#DIV/0!</v>
      </c>
      <c r="I109" s="81">
        <f t="shared" si="39"/>
        <v>24250.77</v>
      </c>
      <c r="J109" s="52" t="e">
        <f t="shared" si="41"/>
        <v>#DIV/0!</v>
      </c>
      <c r="K109" s="52"/>
      <c r="L109" s="52"/>
      <c r="M109" s="122">
        <v>0</v>
      </c>
      <c r="N109" s="71">
        <f>N107</f>
        <v>24250.77</v>
      </c>
      <c r="O109" s="118">
        <f t="shared" si="40"/>
        <v>24250.77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1650</v>
      </c>
      <c r="F110" s="87">
        <f>'[1]січень'!$C$29/1000</f>
        <v>1485.882</v>
      </c>
      <c r="G110" s="62">
        <f>F110-E110</f>
        <v>-164.11799999999994</v>
      </c>
      <c r="H110" s="72"/>
      <c r="I110" s="85">
        <f t="shared" si="39"/>
        <v>-3384.498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182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67.13</v>
      </c>
      <c r="G114" s="49">
        <f t="shared" si="42"/>
        <v>-495.9</v>
      </c>
      <c r="H114" s="40">
        <f aca="true" t="shared" si="44" ref="H114:H125">F114/E114*100</f>
        <v>11.92298811786228</v>
      </c>
      <c r="I114" s="60">
        <f t="shared" si="43"/>
        <v>-3311.0299999999997</v>
      </c>
      <c r="J114" s="60">
        <f aca="true" t="shared" si="45" ref="J114:J120">F114/D114*100</f>
        <v>1.987176451085798</v>
      </c>
      <c r="K114" s="60">
        <f>F114-246.7</f>
        <v>-179.57</v>
      </c>
      <c r="L114" s="60">
        <f>F114/246.7*100</f>
        <v>27.2111876773409</v>
      </c>
      <c r="M114" s="40">
        <f>E114</f>
        <v>563.03</v>
      </c>
      <c r="N114" s="40">
        <f>F114</f>
        <v>67.13</v>
      </c>
      <c r="O114" s="53">
        <f aca="true" t="shared" si="46" ref="O114:O125">N114-M114</f>
        <v>-495.9</v>
      </c>
      <c r="P114" s="60">
        <f>N114/M114*100</f>
        <v>11.92298811786228</v>
      </c>
      <c r="Q114" s="60">
        <f>N114-246.7</f>
        <v>-179.57</v>
      </c>
      <c r="R114" s="140">
        <f>N114/246.7</f>
        <v>0.272111876773409</v>
      </c>
    </row>
    <row r="115" spans="2:18" ht="31.5">
      <c r="B115" s="30" t="s">
        <v>170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91.84</v>
      </c>
      <c r="G116" s="62">
        <f t="shared" si="42"/>
        <v>-496.18999999999994</v>
      </c>
      <c r="H116" s="72">
        <f t="shared" si="44"/>
        <v>15.618250769518562</v>
      </c>
      <c r="I116" s="61">
        <f t="shared" si="43"/>
        <v>-3436.3199999999997</v>
      </c>
      <c r="J116" s="61">
        <f t="shared" si="45"/>
        <v>2.6030565507233234</v>
      </c>
      <c r="K116" s="61">
        <f>F116-270.1</f>
        <v>-178.26000000000002</v>
      </c>
      <c r="L116" s="61">
        <f>F116/270.1*100</f>
        <v>34.00222139948167</v>
      </c>
      <c r="M116" s="62">
        <f>M114+M115+M113</f>
        <v>588.03</v>
      </c>
      <c r="N116" s="38">
        <f>SUM(N113:N115)</f>
        <v>91.84</v>
      </c>
      <c r="O116" s="61">
        <f t="shared" si="46"/>
        <v>-496.18999999999994</v>
      </c>
      <c r="P116" s="61">
        <f>N116/M116*100</f>
        <v>15.618250769518562</v>
      </c>
      <c r="Q116" s="61">
        <f>N116-270.1</f>
        <v>-178.26000000000002</v>
      </c>
      <c r="R116" s="141">
        <f>N116/270.1</f>
        <v>0.3400222139948167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2"/>
        <v>54.32</v>
      </c>
      <c r="H118" s="40" t="e">
        <f t="shared" si="44"/>
        <v>#DIV/0!</v>
      </c>
      <c r="I118" s="60">
        <f t="shared" si="43"/>
        <v>54.32</v>
      </c>
      <c r="J118" s="60" t="e">
        <f t="shared" si="45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>F118</f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7251.98</v>
      </c>
      <c r="G119" s="49">
        <f t="shared" si="42"/>
        <v>7251.98</v>
      </c>
      <c r="H119" s="40" t="e">
        <f t="shared" si="44"/>
        <v>#DIV/0!</v>
      </c>
      <c r="I119" s="53">
        <f t="shared" si="43"/>
        <v>7251.98</v>
      </c>
      <c r="J119" s="60" t="e">
        <f t="shared" si="45"/>
        <v>#DIV/0!</v>
      </c>
      <c r="K119" s="60">
        <f>F119-6357.6</f>
        <v>894.3799999999992</v>
      </c>
      <c r="L119" s="60">
        <f>F119/6357.6*100</f>
        <v>114.06788725305145</v>
      </c>
      <c r="M119" s="40">
        <f>E119</f>
        <v>0</v>
      </c>
      <c r="N119" s="40">
        <f>F119</f>
        <v>7251.98</v>
      </c>
      <c r="O119" s="53">
        <f t="shared" si="46"/>
        <v>7251.98</v>
      </c>
      <c r="P119" s="60" t="e">
        <f aca="true" t="shared" si="47" ref="P119:P124">N119/M119*100</f>
        <v>#DIV/0!</v>
      </c>
      <c r="Q119" s="60">
        <f>N119-6357.6</f>
        <v>894.3799999999992</v>
      </c>
      <c r="R119" s="140">
        <f>N119/6357.6</f>
        <v>1.1406788725305146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0.039</v>
      </c>
      <c r="G120" s="49">
        <f t="shared" si="42"/>
        <v>0.039</v>
      </c>
      <c r="H120" s="40" t="e">
        <f t="shared" si="44"/>
        <v>#DIV/0!</v>
      </c>
      <c r="I120" s="60">
        <f t="shared" si="43"/>
        <v>0.039</v>
      </c>
      <c r="J120" s="60" t="e">
        <f t="shared" si="45"/>
        <v>#DIV/0!</v>
      </c>
      <c r="K120" s="60">
        <f>F120-230.3</f>
        <v>-230.26100000000002</v>
      </c>
      <c r="L120" s="60">
        <f>F120/230.3*100</f>
        <v>0.016934433347807205</v>
      </c>
      <c r="M120" s="40">
        <f>E120</f>
        <v>0</v>
      </c>
      <c r="N120" s="40">
        <f>F120</f>
        <v>0.039</v>
      </c>
      <c r="O120" s="53">
        <f t="shared" si="46"/>
        <v>0.039</v>
      </c>
      <c r="P120" s="60" t="e">
        <f t="shared" si="47"/>
        <v>#DIV/0!</v>
      </c>
      <c r="Q120" s="60">
        <f>N120-230.3</f>
        <v>-230.26100000000002</v>
      </c>
      <c r="R120" s="140">
        <f>N120/230.3</f>
        <v>0.00016934433347807207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433.13</v>
      </c>
      <c r="G121" s="49">
        <f t="shared" si="42"/>
        <v>433.13</v>
      </c>
      <c r="H121" s="40" t="e">
        <f t="shared" si="44"/>
        <v>#DIV/0!</v>
      </c>
      <c r="I121" s="60">
        <f t="shared" si="43"/>
        <v>433.13</v>
      </c>
      <c r="J121" s="60" t="e">
        <f>F121/D121*100</f>
        <v>#DIV/0!</v>
      </c>
      <c r="K121" s="60">
        <f>F121-238.5</f>
        <v>194.63</v>
      </c>
      <c r="L121" s="60">
        <f>F121/238.5*100</f>
        <v>181.60587002096435</v>
      </c>
      <c r="M121" s="40">
        <f>E121</f>
        <v>0</v>
      </c>
      <c r="N121" s="40">
        <f>F121</f>
        <v>433.13</v>
      </c>
      <c r="O121" s="53">
        <f t="shared" si="46"/>
        <v>433.13</v>
      </c>
      <c r="P121" s="60" t="e">
        <f t="shared" si="47"/>
        <v>#DIV/0!</v>
      </c>
      <c r="Q121" s="60">
        <f>N121-238.5</f>
        <v>194.63</v>
      </c>
      <c r="R121" s="140">
        <f>N121/238.5</f>
        <v>1.8160587002096436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7740.518999999999</v>
      </c>
      <c r="G123" s="62">
        <f t="shared" si="42"/>
        <v>7740.518999999999</v>
      </c>
      <c r="H123" s="72" t="e">
        <f t="shared" si="44"/>
        <v>#DIV/0!</v>
      </c>
      <c r="I123" s="61">
        <f t="shared" si="43"/>
        <v>7740.518999999999</v>
      </c>
      <c r="J123" s="61" t="e">
        <f>F123/D123*100</f>
        <v>#DIV/0!</v>
      </c>
      <c r="K123" s="61">
        <f>F123-6841.1</f>
        <v>899.418999999999</v>
      </c>
      <c r="L123" s="61">
        <f>F123/6841.1*100</f>
        <v>113.14728625513439</v>
      </c>
      <c r="M123" s="62">
        <f>M119+M120+M121+M122+M118</f>
        <v>0</v>
      </c>
      <c r="N123" s="62">
        <f>N119+N120+N121+N122+N118</f>
        <v>7740.518999999999</v>
      </c>
      <c r="O123" s="61">
        <f t="shared" si="46"/>
        <v>7740.518999999999</v>
      </c>
      <c r="P123" s="61" t="e">
        <f t="shared" si="47"/>
        <v>#DIV/0!</v>
      </c>
      <c r="Q123" s="61">
        <f>N123-6841.1</f>
        <v>899.418999999999</v>
      </c>
      <c r="R123" s="141">
        <f>N123/6841.1</f>
        <v>1.131472862551344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17.18</v>
      </c>
      <c r="G127" s="49">
        <f aca="true" t="shared" si="48" ref="G127:G134">F127-E127</f>
        <v>-712.9200000000001</v>
      </c>
      <c r="H127" s="40">
        <f>F127/E127*100</f>
        <v>2.353102314751404</v>
      </c>
      <c r="I127" s="60">
        <f aca="true" t="shared" si="49" ref="I127:I134">F127-D127</f>
        <v>-4363.4</v>
      </c>
      <c r="J127" s="60">
        <f>F127/D127*100</f>
        <v>0.3921855096813664</v>
      </c>
      <c r="K127" s="60">
        <f>F127-84.2</f>
        <v>-67.02000000000001</v>
      </c>
      <c r="L127" s="60">
        <f>F127/84.2*100</f>
        <v>20.40380047505938</v>
      </c>
      <c r="M127" s="40">
        <f>E127</f>
        <v>730.1</v>
      </c>
      <c r="N127" s="40">
        <f>F127</f>
        <v>17.18</v>
      </c>
      <c r="O127" s="53">
        <f aca="true" t="shared" si="50" ref="O127:O134">N127-M127</f>
        <v>-712.9200000000001</v>
      </c>
      <c r="P127" s="60">
        <f>N127/M127*100</f>
        <v>2.353102314751404</v>
      </c>
      <c r="Q127" s="60">
        <f>N127-84.2</f>
        <v>-67.02000000000001</v>
      </c>
      <c r="R127" s="140">
        <f>N127/84.2</f>
        <v>0.2040380047505938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8"/>
        <v>0.046</v>
      </c>
      <c r="H128" s="40"/>
      <c r="I128" s="60">
        <f t="shared" si="49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50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26.146</v>
      </c>
      <c r="G129" s="62">
        <f t="shared" si="48"/>
        <v>-703.9540000000001</v>
      </c>
      <c r="H129" s="72">
        <f>F129/E129*100</f>
        <v>3.5811532666757975</v>
      </c>
      <c r="I129" s="61">
        <f t="shared" si="49"/>
        <v>-4354.434</v>
      </c>
      <c r="J129" s="61">
        <f>F129/D129*100</f>
        <v>0.5968616028014555</v>
      </c>
      <c r="K129" s="61">
        <f>F129-84.8</f>
        <v>-58.653999999999996</v>
      </c>
      <c r="L129" s="61">
        <f>G129/84.8*100</f>
        <v>-830.1344339622643</v>
      </c>
      <c r="M129" s="62">
        <f>M124+M127+M128+M126</f>
        <v>730.1</v>
      </c>
      <c r="N129" s="62">
        <f>N124+N127+N128+N126</f>
        <v>26.146</v>
      </c>
      <c r="O129" s="61">
        <f t="shared" si="50"/>
        <v>-703.9540000000001</v>
      </c>
      <c r="P129" s="61">
        <f>N129/M129*100</f>
        <v>3.5811532666757975</v>
      </c>
      <c r="Q129" s="61">
        <f>N129-84.8</f>
        <v>-58.653999999999996</v>
      </c>
      <c r="R129" s="139">
        <f>N129/1784.5</f>
        <v>0.014651723171756795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7858.504999999999</v>
      </c>
      <c r="G133" s="50">
        <f t="shared" si="48"/>
        <v>6229.134999999999</v>
      </c>
      <c r="H133" s="51">
        <f>F133/E133*100</f>
        <v>482.3032828639289</v>
      </c>
      <c r="I133" s="36">
        <f t="shared" si="49"/>
        <v>-1917.6650000000009</v>
      </c>
      <c r="J133" s="36">
        <f>F133/D133*100</f>
        <v>80.38429159885722</v>
      </c>
      <c r="K133" s="36">
        <f>F133-7196.4</f>
        <v>662.1049999999996</v>
      </c>
      <c r="L133" s="36">
        <f>F133/7196.4*100</f>
        <v>109.20050302929243</v>
      </c>
      <c r="M133" s="31">
        <f>M116+M130+M123+M129+M132+M131</f>
        <v>1629.3700000000001</v>
      </c>
      <c r="N133" s="31">
        <f>N116+N130+N123+N129+N132+N131</f>
        <v>7858.504999999999</v>
      </c>
      <c r="O133" s="36">
        <f t="shared" si="50"/>
        <v>6229.134999999999</v>
      </c>
      <c r="P133" s="36">
        <f>N133/M133*100</f>
        <v>482.3032828639289</v>
      </c>
      <c r="Q133" s="36">
        <f>N133-7196.4</f>
        <v>662.1049999999996</v>
      </c>
      <c r="R133" s="138">
        <f>N133/7196.4</f>
        <v>1.0920050302929243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39910.485</v>
      </c>
      <c r="G134" s="50">
        <f t="shared" si="48"/>
        <v>3019.0149999999994</v>
      </c>
      <c r="H134" s="51">
        <f>F134/E134*100</f>
        <v>108.18350420842542</v>
      </c>
      <c r="I134" s="36">
        <f t="shared" si="49"/>
        <v>-200842.885</v>
      </c>
      <c r="J134" s="36">
        <f>F134/D134*100</f>
        <v>16.57733181471146</v>
      </c>
      <c r="K134" s="36">
        <f>F134-41718.2</f>
        <v>-1807.7149999999965</v>
      </c>
      <c r="L134" s="36">
        <f>F134/41718.2*100</f>
        <v>95.66684324827055</v>
      </c>
      <c r="M134" s="22">
        <f>M106+M133</f>
        <v>36891.47</v>
      </c>
      <c r="N134" s="22">
        <f>N106+N133</f>
        <v>39910.485</v>
      </c>
      <c r="O134" s="36">
        <f t="shared" si="50"/>
        <v>3019.0149999999994</v>
      </c>
      <c r="P134" s="36">
        <f>N134/M134*100</f>
        <v>108.18350420842542</v>
      </c>
      <c r="Q134" s="36">
        <f>N134-41718.2</f>
        <v>-1807.7149999999965</v>
      </c>
      <c r="R134" s="138">
        <f>N134/41718.2</f>
        <v>0.9566684324827055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</v>
      </c>
      <c r="D136" s="4" t="s">
        <v>118</v>
      </c>
    </row>
    <row r="137" spans="2:17" ht="31.5">
      <c r="B137" s="78" t="s">
        <v>154</v>
      </c>
      <c r="C137" s="39">
        <f>IF(O106&lt;0,ABS(O106/C136),0)</f>
        <v>3210.1199999999953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41669</v>
      </c>
      <c r="D138" s="39">
        <v>4752.2</v>
      </c>
      <c r="N138" s="169"/>
      <c r="O138" s="169"/>
    </row>
    <row r="139" spans="3:15" ht="15.75">
      <c r="C139" s="120">
        <v>41668</v>
      </c>
      <c r="D139" s="39">
        <v>1984.7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41667</v>
      </c>
      <c r="D140" s="39">
        <v>1716.4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111165.86219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97340.64022999999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167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2014-01-30T09:13:50Z</cp:lastPrinted>
  <dcterms:created xsi:type="dcterms:W3CDTF">2003-07-28T11:27:56Z</dcterms:created>
  <dcterms:modified xsi:type="dcterms:W3CDTF">2014-01-31T14:07:07Z</dcterms:modified>
  <cp:category/>
  <cp:version/>
  <cp:contentType/>
  <cp:contentStatus/>
</cp:coreProperties>
</file>